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740" windowHeight="5070" activeTab="0"/>
  </bookViews>
  <sheets>
    <sheet name="Trip Expenses" sheetId="1" r:id="rId1"/>
    <sheet name="Car Expenses" sheetId="2" r:id="rId2"/>
    <sheet name="Brake Wear" sheetId="3" r:id="rId3"/>
    <sheet name="Brake Wear Log" sheetId="4" r:id="rId4"/>
  </sheets>
  <definedNames/>
  <calcPr fullCalcOnLoad="1"/>
</workbook>
</file>

<file path=xl/sharedStrings.xml><?xml version="1.0" encoding="utf-8"?>
<sst xmlns="http://schemas.openxmlformats.org/spreadsheetml/2006/main" count="104" uniqueCount="75">
  <si>
    <t>Life</t>
  </si>
  <si>
    <t>Front pads</t>
  </si>
  <si>
    <t>Rear pads</t>
  </si>
  <si>
    <t>Notes</t>
  </si>
  <si>
    <t>Front rotors</t>
  </si>
  <si>
    <t>Consumables</t>
  </si>
  <si>
    <t>Cost</t>
  </si>
  <si>
    <t>(dollars)</t>
  </si>
  <si>
    <t>(track hours)</t>
  </si>
  <si>
    <t>Average Cost</t>
  </si>
  <si>
    <t>(per track hour)</t>
  </si>
  <si>
    <t>StopTech AeroRotor, 332mm x 32mm</t>
  </si>
  <si>
    <t>Fuel</t>
  </si>
  <si>
    <t>Typically about 15 gallons + octane treatment</t>
  </si>
  <si>
    <t>Rear rotors</t>
  </si>
  <si>
    <t>(event)</t>
  </si>
  <si>
    <t>Tires</t>
  </si>
  <si>
    <t>Expense</t>
  </si>
  <si>
    <t>Lodging</t>
  </si>
  <si>
    <t>Gingerman</t>
  </si>
  <si>
    <t>Blackhawk Farms</t>
  </si>
  <si>
    <t>Road America</t>
  </si>
  <si>
    <t>(CGI 1-day)</t>
  </si>
  <si>
    <t>Registration</t>
  </si>
  <si>
    <t>Food</t>
  </si>
  <si>
    <t>Event expenses</t>
  </si>
  <si>
    <t>Car expenses</t>
  </si>
  <si>
    <t>Total event cost:</t>
  </si>
  <si>
    <t>Green = estimated</t>
  </si>
  <si>
    <t>Total cost:</t>
  </si>
  <si>
    <t>Front Brakes</t>
  </si>
  <si>
    <t>Rear Brakes</t>
  </si>
  <si>
    <t>Discard thickness</t>
  </si>
  <si>
    <t>New thickness</t>
  </si>
  <si>
    <t>Rotors</t>
  </si>
  <si>
    <t>Pads</t>
  </si>
  <si>
    <t>Wearable thickness</t>
  </si>
  <si>
    <t>inches</t>
  </si>
  <si>
    <t>Event</t>
  </si>
  <si>
    <t>Track</t>
  </si>
  <si>
    <t>Hours</t>
  </si>
  <si>
    <t>Before</t>
  </si>
  <si>
    <t>After</t>
  </si>
  <si>
    <t>Front Rotors</t>
  </si>
  <si>
    <t>Front Pads</t>
  </si>
  <si>
    <t>Rear Rotors</t>
  </si>
  <si>
    <t>Rear Pads</t>
  </si>
  <si>
    <t>Left</t>
  </si>
  <si>
    <t>Total</t>
  </si>
  <si>
    <t>Thickness</t>
  </si>
  <si>
    <t>Track Time</t>
  </si>
  <si>
    <t>SEASON COST</t>
  </si>
  <si>
    <t>Season</t>
  </si>
  <si>
    <t>(totals)</t>
  </si>
  <si>
    <t>Travel</t>
  </si>
  <si>
    <t>Track time (hours)</t>
  </si>
  <si>
    <t>Average cost:</t>
  </si>
  <si>
    <t>PFC01 pads front, YellowStuff rears</t>
  </si>
  <si>
    <t>PFC01 pads front, DTC60 pads rear</t>
  </si>
  <si>
    <t>Stock, 12.1" x .63", slotted and zinc coated</t>
  </si>
  <si>
    <t>Dunlop Direzza Sport Z1 Star Spec</t>
  </si>
  <si>
    <t>(PCA 1-day)</t>
  </si>
  <si>
    <t>Road America CR</t>
  </si>
  <si>
    <t>Road America DE</t>
  </si>
  <si>
    <t>(Octoberfest 1-day)</t>
  </si>
  <si>
    <t>(Octoberfest 2-day)</t>
  </si>
  <si>
    <t>Octoberfest Club Race School</t>
  </si>
  <si>
    <t>Octoberfest PDE</t>
  </si>
  <si>
    <t>Putnam Park</t>
  </si>
  <si>
    <t>(10/10ths 2-day)</t>
  </si>
  <si>
    <t>Road America 5/8/2010 (PCA)</t>
  </si>
  <si>
    <t>Blackhawk Farms 6/4/2010 (BB)</t>
  </si>
  <si>
    <t>PFC01 pads front, StopTech Street Performance rears</t>
  </si>
  <si>
    <t>StopTech Street Performance</t>
  </si>
  <si>
    <t>Performance Friction PFC01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</si>
</sst>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_);_(* \(#,##0.000\);_(* &quot;-&quot;???_);_(@_)"/>
    <numFmt numFmtId="171" formatCode="0.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43" fontId="2" fillId="0" borderId="0" xfId="15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3" fontId="0" fillId="0" borderId="1" xfId="15" applyBorder="1" applyAlignment="1">
      <alignment horizontal="center"/>
    </xf>
    <xf numFmtId="43" fontId="0" fillId="0" borderId="0" xfId="15" applyAlignment="1">
      <alignment/>
    </xf>
    <xf numFmtId="44" fontId="2" fillId="0" borderId="0" xfId="17" applyFont="1" applyAlignment="1">
      <alignment/>
    </xf>
    <xf numFmtId="43" fontId="4" fillId="0" borderId="0" xfId="15" applyFont="1" applyAlignment="1">
      <alignment/>
    </xf>
    <xf numFmtId="0" fontId="0" fillId="0" borderId="0" xfId="0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8" fontId="0" fillId="0" borderId="0" xfId="17" applyNumberFormat="1" applyAlignment="1">
      <alignment/>
    </xf>
    <xf numFmtId="168" fontId="2" fillId="0" borderId="0" xfId="17" applyNumberFormat="1" applyFont="1" applyAlignment="1">
      <alignment/>
    </xf>
    <xf numFmtId="168" fontId="0" fillId="0" borderId="0" xfId="17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5" fillId="0" borderId="0" xfId="15" applyNumberFormat="1" applyFont="1" applyAlignment="1">
      <alignment horizontal="center"/>
    </xf>
    <xf numFmtId="169" fontId="0" fillId="0" borderId="0" xfId="15" applyNumberFormat="1" applyAlignment="1">
      <alignment horizontal="right"/>
    </xf>
    <xf numFmtId="0" fontId="5" fillId="0" borderId="0" xfId="0" applyFont="1" applyAlignment="1">
      <alignment horizontal="center"/>
    </xf>
    <xf numFmtId="9" fontId="6" fillId="2" borderId="2" xfId="21" applyFont="1" applyFill="1" applyBorder="1" applyAlignment="1">
      <alignment/>
    </xf>
    <xf numFmtId="169" fontId="6" fillId="2" borderId="2" xfId="15" applyNumberFormat="1" applyFont="1" applyFill="1" applyBorder="1" applyAlignment="1">
      <alignment/>
    </xf>
    <xf numFmtId="9" fontId="6" fillId="3" borderId="2" xfId="21" applyFont="1" applyFill="1" applyBorder="1" applyAlignment="1">
      <alignment/>
    </xf>
    <xf numFmtId="169" fontId="0" fillId="3" borderId="2" xfId="15" applyNumberFormat="1" applyFill="1" applyBorder="1" applyAlignment="1">
      <alignment/>
    </xf>
    <xf numFmtId="169" fontId="0" fillId="2" borderId="2" xfId="15" applyNumberFormat="1" applyFill="1" applyBorder="1" applyAlignment="1">
      <alignment/>
    </xf>
    <xf numFmtId="169" fontId="5" fillId="3" borderId="2" xfId="15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9" fontId="0" fillId="3" borderId="3" xfId="15" applyNumberFormat="1" applyFill="1" applyBorder="1" applyAlignment="1">
      <alignment/>
    </xf>
    <xf numFmtId="169" fontId="0" fillId="2" borderId="3" xfId="15" applyNumberFormat="1" applyFill="1" applyBorder="1" applyAlignment="1">
      <alignment/>
    </xf>
    <xf numFmtId="165" fontId="0" fillId="3" borderId="2" xfId="15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0" fillId="0" borderId="1" xfId="15" applyFont="1" applyBorder="1" applyAlignment="1">
      <alignment horizontal="center"/>
    </xf>
    <xf numFmtId="169" fontId="5" fillId="3" borderId="3" xfId="15" applyNumberFormat="1" applyFont="1" applyFill="1" applyBorder="1" applyAlignment="1">
      <alignment horizontal="center"/>
    </xf>
    <xf numFmtId="169" fontId="5" fillId="2" borderId="3" xfId="15" applyNumberFormat="1" applyFont="1" applyFill="1" applyBorder="1" applyAlignment="1">
      <alignment horizontal="center"/>
    </xf>
    <xf numFmtId="169" fontId="5" fillId="2" borderId="2" xfId="15" applyNumberFormat="1" applyFont="1" applyFill="1" applyBorder="1" applyAlignment="1">
      <alignment horizontal="center"/>
    </xf>
    <xf numFmtId="169" fontId="6" fillId="2" borderId="0" xfId="15" applyNumberFormat="1" applyFont="1" applyFill="1" applyBorder="1" applyAlignment="1">
      <alignment/>
    </xf>
    <xf numFmtId="165" fontId="0" fillId="2" borderId="3" xfId="15" applyNumberFormat="1" applyFont="1" applyFill="1" applyBorder="1" applyAlignment="1">
      <alignment/>
    </xf>
    <xf numFmtId="165" fontId="0" fillId="3" borderId="3" xfId="15" applyNumberFormat="1" applyFont="1" applyFill="1" applyBorder="1" applyAlignment="1">
      <alignment/>
    </xf>
    <xf numFmtId="169" fontId="6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9" fontId="0" fillId="2" borderId="0" xfId="15" applyNumberFormat="1" applyFill="1" applyBorder="1" applyAlignment="1">
      <alignment/>
    </xf>
    <xf numFmtId="9" fontId="6" fillId="2" borderId="0" xfId="21" applyFont="1" applyFill="1" applyBorder="1" applyAlignment="1">
      <alignment/>
    </xf>
    <xf numFmtId="169" fontId="0" fillId="3" borderId="0" xfId="15" applyNumberFormat="1" applyFill="1" applyBorder="1" applyAlignment="1">
      <alignment/>
    </xf>
    <xf numFmtId="9" fontId="6" fillId="3" borderId="0" xfId="21" applyFont="1" applyFill="1" applyBorder="1" applyAlignment="1">
      <alignment/>
    </xf>
    <xf numFmtId="43" fontId="0" fillId="0" borderId="0" xfId="15" applyFill="1" applyBorder="1" applyAlignment="1">
      <alignment/>
    </xf>
    <xf numFmtId="169" fontId="0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0" fillId="2" borderId="1" xfId="15" applyNumberFormat="1" applyFill="1" applyBorder="1" applyAlignment="1">
      <alignment/>
    </xf>
    <xf numFmtId="169" fontId="6" fillId="2" borderId="1" xfId="15" applyNumberFormat="1" applyFont="1" applyFill="1" applyBorder="1" applyAlignment="1">
      <alignment/>
    </xf>
    <xf numFmtId="169" fontId="0" fillId="3" borderId="1" xfId="15" applyNumberFormat="1" applyFill="1" applyBorder="1" applyAlignment="1">
      <alignment/>
    </xf>
    <xf numFmtId="43" fontId="0" fillId="4" borderId="4" xfId="15" applyFill="1" applyBorder="1" applyAlignment="1">
      <alignment/>
    </xf>
    <xf numFmtId="43" fontId="2" fillId="4" borderId="5" xfId="15" applyFont="1" applyFill="1" applyBorder="1" applyAlignment="1">
      <alignment horizontal="center"/>
    </xf>
    <xf numFmtId="43" fontId="5" fillId="4" borderId="5" xfId="15" applyFont="1" applyFill="1" applyBorder="1" applyAlignment="1">
      <alignment horizontal="center"/>
    </xf>
    <xf numFmtId="43" fontId="0" fillId="4" borderId="5" xfId="15" applyFill="1" applyBorder="1" applyAlignment="1">
      <alignment/>
    </xf>
    <xf numFmtId="43" fontId="0" fillId="4" borderId="6" xfId="15" applyFill="1" applyBorder="1" applyAlignment="1">
      <alignment/>
    </xf>
    <xf numFmtId="169" fontId="0" fillId="2" borderId="7" xfId="15" applyNumberFormat="1" applyFill="1" applyBorder="1" applyAlignment="1">
      <alignment/>
    </xf>
    <xf numFmtId="169" fontId="6" fillId="2" borderId="8" xfId="15" applyNumberFormat="1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165" fontId="0" fillId="2" borderId="7" xfId="15" applyNumberFormat="1" applyFont="1" applyFill="1" applyBorder="1" applyAlignment="1">
      <alignment/>
    </xf>
    <xf numFmtId="165" fontId="0" fillId="2" borderId="8" xfId="15" applyNumberFormat="1" applyFont="1" applyFill="1" applyBorder="1" applyAlignment="1">
      <alignment/>
    </xf>
    <xf numFmtId="169" fontId="0" fillId="3" borderId="7" xfId="15" applyNumberFormat="1" applyFill="1" applyBorder="1" applyAlignment="1">
      <alignment/>
    </xf>
    <xf numFmtId="169" fontId="0" fillId="3" borderId="8" xfId="15" applyNumberFormat="1" applyFill="1" applyBorder="1" applyAlignment="1">
      <alignment/>
    </xf>
    <xf numFmtId="169" fontId="0" fillId="2" borderId="8" xfId="15" applyNumberFormat="1" applyFill="1" applyBorder="1" applyAlignment="1">
      <alignment/>
    </xf>
    <xf numFmtId="165" fontId="0" fillId="3" borderId="7" xfId="15" applyNumberFormat="1" applyFont="1" applyFill="1" applyBorder="1" applyAlignment="1">
      <alignment/>
    </xf>
    <xf numFmtId="165" fontId="0" fillId="3" borderId="8" xfId="15" applyNumberFormat="1" applyFont="1" applyFill="1" applyBorder="1" applyAlignment="1">
      <alignment/>
    </xf>
    <xf numFmtId="169" fontId="2" fillId="2" borderId="9" xfId="15" applyNumberFormat="1" applyFont="1" applyFill="1" applyBorder="1" applyAlignment="1">
      <alignment horizontal="center"/>
    </xf>
    <xf numFmtId="169" fontId="2" fillId="2" borderId="10" xfId="15" applyNumberFormat="1" applyFont="1" applyFill="1" applyBorder="1" applyAlignment="1">
      <alignment horizontal="center"/>
    </xf>
    <xf numFmtId="169" fontId="2" fillId="2" borderId="11" xfId="15" applyNumberFormat="1" applyFont="1" applyFill="1" applyBorder="1" applyAlignment="1">
      <alignment horizontal="center"/>
    </xf>
    <xf numFmtId="169" fontId="2" fillId="2" borderId="12" xfId="15" applyNumberFormat="1" applyFont="1" applyFill="1" applyBorder="1" applyAlignment="1">
      <alignment horizontal="center"/>
    </xf>
    <xf numFmtId="169" fontId="5" fillId="2" borderId="3" xfId="15" applyNumberFormat="1" applyFont="1" applyFill="1" applyBorder="1" applyAlignment="1">
      <alignment horizontal="center"/>
    </xf>
    <xf numFmtId="169" fontId="5" fillId="2" borderId="0" xfId="15" applyNumberFormat="1" applyFont="1" applyFill="1" applyBorder="1" applyAlignment="1">
      <alignment horizontal="center"/>
    </xf>
    <xf numFmtId="169" fontId="5" fillId="2" borderId="2" xfId="15" applyNumberFormat="1" applyFont="1" applyFill="1" applyBorder="1" applyAlignment="1">
      <alignment horizontal="center"/>
    </xf>
    <xf numFmtId="169" fontId="2" fillId="3" borderId="10" xfId="15" applyNumberFormat="1" applyFont="1" applyFill="1" applyBorder="1" applyAlignment="1">
      <alignment horizontal="center"/>
    </xf>
    <xf numFmtId="169" fontId="2" fillId="3" borderId="12" xfId="15" applyNumberFormat="1" applyFont="1" applyFill="1" applyBorder="1" applyAlignment="1">
      <alignment horizontal="center"/>
    </xf>
    <xf numFmtId="169" fontId="2" fillId="3" borderId="11" xfId="15" applyNumberFormat="1" applyFont="1" applyFill="1" applyBorder="1" applyAlignment="1">
      <alignment horizontal="center"/>
    </xf>
    <xf numFmtId="169" fontId="5" fillId="3" borderId="3" xfId="15" applyNumberFormat="1" applyFont="1" applyFill="1" applyBorder="1" applyAlignment="1">
      <alignment horizontal="center"/>
    </xf>
    <xf numFmtId="169" fontId="5" fillId="3" borderId="0" xfId="15" applyNumberFormat="1" applyFont="1" applyFill="1" applyBorder="1" applyAlignment="1">
      <alignment horizontal="center"/>
    </xf>
    <xf numFmtId="169" fontId="5" fillId="3" borderId="2" xfId="15" applyNumberFormat="1" applyFont="1" applyFill="1" applyBorder="1" applyAlignment="1">
      <alignment horizontal="center"/>
    </xf>
    <xf numFmtId="169" fontId="2" fillId="3" borderId="9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Racing Cost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('Trip Expenses'!$A$4:$A$7,'Trip Expenses'!$A$10)</c:f>
              <c:strCache/>
            </c:strRef>
          </c:cat>
          <c:val>
            <c:numRef>
              <c:f>('Trip Expenses'!$J$4:$J$7,'Trip Expenses'!$J$10)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('Trip Expenses'!$A$4:$A$7,'Trip Expenses'!$A$10)</c:f>
              <c:strCache/>
            </c:strRef>
          </c:cat>
          <c:val>
            <c:numRef>
              <c:f>'Trip Expenses'!$J$13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('Trip Expenses'!$A$4:$A$7,'Trip Expenses'!$A$10)</c:f>
              <c:strCache/>
            </c:strRef>
          </c:cat>
          <c:val>
            <c:numRef>
              <c:f>'Trip Expenses'!$K$13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0</xdr:rowOff>
    </xdr:from>
    <xdr:to>
      <xdr:col>10</xdr:col>
      <xdr:colOff>361950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533525" y="25908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17" customWidth="1"/>
    <col min="2" max="8" width="17.8515625" style="19" customWidth="1"/>
    <col min="9" max="9" width="4.57421875" style="0" customWidth="1"/>
    <col min="10" max="10" width="10.28125" style="0" bestFit="1" customWidth="1"/>
  </cols>
  <sheetData>
    <row r="1" spans="1:10" s="12" customFormat="1" ht="12.75">
      <c r="A1" s="15" t="s">
        <v>17</v>
      </c>
      <c r="B1" s="9" t="s">
        <v>21</v>
      </c>
      <c r="C1" s="9" t="s">
        <v>20</v>
      </c>
      <c r="D1" s="9" t="s">
        <v>20</v>
      </c>
      <c r="E1" s="9" t="s">
        <v>62</v>
      </c>
      <c r="F1" s="9" t="s">
        <v>63</v>
      </c>
      <c r="G1" s="9" t="s">
        <v>19</v>
      </c>
      <c r="H1" s="9" t="s">
        <v>68</v>
      </c>
      <c r="J1" s="12" t="s">
        <v>52</v>
      </c>
    </row>
    <row r="2" spans="1:10" s="13" customFormat="1" ht="12.75">
      <c r="A2" s="16"/>
      <c r="B2" s="45" t="s">
        <v>61</v>
      </c>
      <c r="C2" s="45" t="s">
        <v>61</v>
      </c>
      <c r="D2" s="45" t="s">
        <v>61</v>
      </c>
      <c r="E2" s="45" t="s">
        <v>65</v>
      </c>
      <c r="F2" s="45" t="s">
        <v>64</v>
      </c>
      <c r="G2" s="18" t="s">
        <v>22</v>
      </c>
      <c r="H2" s="45" t="s">
        <v>69</v>
      </c>
      <c r="J2" s="13" t="s">
        <v>53</v>
      </c>
    </row>
    <row r="4" spans="1:10" ht="12.75">
      <c r="A4" s="17" t="s">
        <v>23</v>
      </c>
      <c r="B4" s="25">
        <v>225</v>
      </c>
      <c r="C4" s="27">
        <v>200</v>
      </c>
      <c r="D4" s="27">
        <v>200</v>
      </c>
      <c r="E4" s="27">
        <v>395</v>
      </c>
      <c r="F4" s="27">
        <v>250</v>
      </c>
      <c r="G4" s="25">
        <v>0</v>
      </c>
      <c r="H4" s="25">
        <v>450</v>
      </c>
      <c r="J4" s="25">
        <f>SUM(B4:H4)</f>
        <v>1720</v>
      </c>
    </row>
    <row r="5" spans="1:10" ht="12.75">
      <c r="A5" s="17" t="s">
        <v>54</v>
      </c>
      <c r="B5" s="23">
        <f>(60*2)/22*3</f>
        <v>16.363636363636363</v>
      </c>
      <c r="C5" s="23">
        <f>(100*2)/22*3</f>
        <v>27.272727272727273</v>
      </c>
      <c r="D5" s="23">
        <f>(100*2)/22*3</f>
        <v>27.272727272727273</v>
      </c>
      <c r="E5" s="23">
        <f>(100*2)/22*3</f>
        <v>27.272727272727273</v>
      </c>
      <c r="F5" s="23">
        <f>(100*2)/22*3</f>
        <v>27.272727272727273</v>
      </c>
      <c r="G5" s="23">
        <f>(250*2)/22*3</f>
        <v>68.18181818181819</v>
      </c>
      <c r="H5" s="23">
        <v>27</v>
      </c>
      <c r="J5" s="25">
        <f>SUM(B5:H5)</f>
        <v>220.63636363636365</v>
      </c>
    </row>
    <row r="6" spans="1:10" ht="12.75">
      <c r="A6" s="17" t="s">
        <v>18</v>
      </c>
      <c r="B6" s="23">
        <v>0</v>
      </c>
      <c r="C6" s="23">
        <v>0</v>
      </c>
      <c r="D6" s="23">
        <v>0</v>
      </c>
      <c r="E6" s="23">
        <v>50</v>
      </c>
      <c r="F6" s="23">
        <v>50</v>
      </c>
      <c r="G6" s="23">
        <v>50</v>
      </c>
      <c r="H6" s="23">
        <v>50</v>
      </c>
      <c r="J6" s="25">
        <f>SUM(B6:H6)</f>
        <v>200</v>
      </c>
    </row>
    <row r="7" spans="1:10" ht="12.75">
      <c r="A7" s="17" t="s">
        <v>24</v>
      </c>
      <c r="B7" s="24">
        <v>25</v>
      </c>
      <c r="C7" s="23">
        <v>25</v>
      </c>
      <c r="D7" s="23">
        <v>25</v>
      </c>
      <c r="E7" s="23">
        <v>50</v>
      </c>
      <c r="F7" s="23">
        <v>50</v>
      </c>
      <c r="G7" s="23">
        <v>50</v>
      </c>
      <c r="H7" s="24">
        <v>50</v>
      </c>
      <c r="J7" s="25">
        <f>SUM(B7:H7)</f>
        <v>275</v>
      </c>
    </row>
    <row r="8" ht="12.75">
      <c r="J8" s="23"/>
    </row>
    <row r="9" spans="1:10" ht="12.75">
      <c r="A9" s="17" t="s">
        <v>25</v>
      </c>
      <c r="B9" s="25">
        <f aca="true" t="shared" si="0" ref="B9:H9">SUM(B4:B7)</f>
        <v>266.3636363636364</v>
      </c>
      <c r="C9" s="25">
        <f t="shared" si="0"/>
        <v>252.27272727272728</v>
      </c>
      <c r="D9" s="25">
        <f t="shared" si="0"/>
        <v>252.27272727272728</v>
      </c>
      <c r="E9" s="25">
        <f t="shared" si="0"/>
        <v>522.2727272727273</v>
      </c>
      <c r="F9" s="25">
        <f>SUM(F4:F7)</f>
        <v>377.27272727272725</v>
      </c>
      <c r="G9" s="25">
        <f>SUM(G4:G7)</f>
        <v>168.1818181818182</v>
      </c>
      <c r="H9" s="25">
        <f t="shared" si="0"/>
        <v>577</v>
      </c>
      <c r="J9" s="25">
        <f>SUM(B9:H9)</f>
        <v>2415.6363636363635</v>
      </c>
    </row>
    <row r="10" spans="1:10" ht="12.75">
      <c r="A10" s="17" t="s">
        <v>26</v>
      </c>
      <c r="B10" s="23">
        <f>'Car Expenses'!$D$11*B11</f>
        <v>325.79166666666663</v>
      </c>
      <c r="C10" s="23">
        <f>'Car Expenses'!$D$11*C11</f>
        <v>325.79166666666663</v>
      </c>
      <c r="D10" s="23">
        <v>0</v>
      </c>
      <c r="E10" s="23">
        <f>'Car Expenses'!$D$11*E11</f>
        <v>558.5</v>
      </c>
      <c r="F10" s="23">
        <f>'Car Expenses'!$D$11*F11</f>
        <v>310.8983333333333</v>
      </c>
      <c r="G10" s="23">
        <f>'Car Expenses'!$D$11*G11</f>
        <v>372.3333333333333</v>
      </c>
      <c r="H10" s="23">
        <f>'Car Expenses'!$D$11*H11</f>
        <v>651.5833333333333</v>
      </c>
      <c r="J10" s="25">
        <f>SUM(B10:H10)</f>
        <v>2544.898333333333</v>
      </c>
    </row>
    <row r="11" spans="1:10" ht="12.75">
      <c r="A11" s="17" t="s">
        <v>55</v>
      </c>
      <c r="B11" s="4">
        <v>1.75</v>
      </c>
      <c r="C11" s="4">
        <v>1.75</v>
      </c>
      <c r="D11" s="4">
        <v>0</v>
      </c>
      <c r="E11" s="4">
        <v>3</v>
      </c>
      <c r="F11" s="4">
        <v>1.67</v>
      </c>
      <c r="G11" s="19">
        <f>6*(20/60)</f>
        <v>2</v>
      </c>
      <c r="H11" s="4">
        <v>3.5</v>
      </c>
      <c r="I11" s="28"/>
      <c r="J11" s="19">
        <f>SUM(C11:H11)</f>
        <v>11.92</v>
      </c>
    </row>
    <row r="13" spans="1:11" ht="12.75">
      <c r="A13" s="22" t="s">
        <v>27</v>
      </c>
      <c r="B13" s="26">
        <f aca="true" t="shared" si="1" ref="B13:H13">B10+B9</f>
        <v>592.155303030303</v>
      </c>
      <c r="C13" s="26">
        <f t="shared" si="1"/>
        <v>578.0643939393939</v>
      </c>
      <c r="D13" s="26">
        <f t="shared" si="1"/>
        <v>252.27272727272728</v>
      </c>
      <c r="E13" s="26">
        <f t="shared" si="1"/>
        <v>1080.7727272727273</v>
      </c>
      <c r="F13" s="26">
        <f>F10+F9</f>
        <v>688.1710606060606</v>
      </c>
      <c r="G13" s="26">
        <f>G10+G9</f>
        <v>540.5151515151515</v>
      </c>
      <c r="H13" s="26">
        <f t="shared" si="1"/>
        <v>1228.5833333333333</v>
      </c>
      <c r="J13" s="43">
        <f>SUM(B13:H13)</f>
        <v>4960.534696969697</v>
      </c>
      <c r="K13" s="44" t="s">
        <v>51</v>
      </c>
    </row>
    <row r="14" spans="1:10" ht="12.75">
      <c r="A14" s="22" t="s">
        <v>56</v>
      </c>
      <c r="B14" s="5">
        <f aca="true" t="shared" si="2" ref="B14:H14">IF(B11&gt;0,B13/B11,0)</f>
        <v>338.37445887445887</v>
      </c>
      <c r="C14" s="5">
        <f t="shared" si="2"/>
        <v>330.32251082251076</v>
      </c>
      <c r="D14" s="5">
        <f t="shared" si="2"/>
        <v>0</v>
      </c>
      <c r="E14" s="5">
        <f t="shared" si="2"/>
        <v>360.25757575757575</v>
      </c>
      <c r="F14" s="5">
        <f t="shared" si="2"/>
        <v>412.0784794048267</v>
      </c>
      <c r="G14" s="5">
        <f>IF(G11&gt;0,G13/G11,0)</f>
        <v>270.25757575757575</v>
      </c>
      <c r="H14" s="5">
        <f t="shared" si="2"/>
        <v>351.0238095238095</v>
      </c>
      <c r="J14" s="25">
        <f>J13/J11</f>
        <v>416.1522396786658</v>
      </c>
    </row>
    <row r="15" spans="1:8" ht="12.75">
      <c r="A15" s="22" t="s">
        <v>10</v>
      </c>
      <c r="B15" s="20"/>
      <c r="C15" s="20"/>
      <c r="D15" s="20"/>
      <c r="E15" s="20"/>
      <c r="F15" s="20"/>
      <c r="G15" s="20"/>
      <c r="H15" s="20"/>
    </row>
    <row r="19" ht="12.75">
      <c r="A19" s="21" t="s">
        <v>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7" sqref="A7"/>
    </sheetView>
  </sheetViews>
  <sheetFormatPr defaultColWidth="9.140625" defaultRowHeight="12.75"/>
  <cols>
    <col min="1" max="1" width="14.28125" style="0" customWidth="1"/>
    <col min="2" max="2" width="8.7109375" style="4" bestFit="1" customWidth="1"/>
    <col min="3" max="3" width="12.57421875" style="5" bestFit="1" customWidth="1"/>
    <col min="4" max="4" width="14.8515625" style="4" bestFit="1" customWidth="1"/>
    <col min="5" max="5" width="3.00390625" style="0" customWidth="1"/>
    <col min="6" max="6" width="46.28125" style="0" customWidth="1"/>
  </cols>
  <sheetData>
    <row r="1" spans="1:6" ht="12.75">
      <c r="A1" s="1" t="s">
        <v>5</v>
      </c>
      <c r="B1" s="9" t="s">
        <v>6</v>
      </c>
      <c r="C1" s="10" t="s">
        <v>0</v>
      </c>
      <c r="D1" s="9" t="s">
        <v>9</v>
      </c>
      <c r="E1" s="2"/>
      <c r="F1" s="1"/>
    </row>
    <row r="2" spans="1:6" s="6" customFormat="1" ht="12.75">
      <c r="A2" s="6" t="s">
        <v>15</v>
      </c>
      <c r="B2" s="7" t="s">
        <v>7</v>
      </c>
      <c r="C2" s="8" t="s">
        <v>8</v>
      </c>
      <c r="D2" s="7" t="s">
        <v>10</v>
      </c>
      <c r="F2" s="11" t="s">
        <v>3</v>
      </c>
    </row>
    <row r="4" spans="1:6" ht="12.75">
      <c r="A4" t="s">
        <v>1</v>
      </c>
      <c r="B4" s="27">
        <v>325</v>
      </c>
      <c r="C4" s="5">
        <v>6</v>
      </c>
      <c r="D4" s="3">
        <f aca="true" t="shared" si="0" ref="D4:D9">B4/C4</f>
        <v>54.166666666666664</v>
      </c>
      <c r="F4" t="s">
        <v>74</v>
      </c>
    </row>
    <row r="5" spans="1:6" ht="12.75">
      <c r="A5" t="s">
        <v>2</v>
      </c>
      <c r="B5" s="5">
        <v>65</v>
      </c>
      <c r="C5" s="5">
        <v>5</v>
      </c>
      <c r="D5" s="4">
        <f t="shared" si="0"/>
        <v>13</v>
      </c>
      <c r="F5" t="s">
        <v>73</v>
      </c>
    </row>
    <row r="6" spans="1:6" ht="12.75">
      <c r="A6" t="s">
        <v>4</v>
      </c>
      <c r="B6" s="5">
        <v>500</v>
      </c>
      <c r="C6" s="5">
        <v>25</v>
      </c>
      <c r="D6" s="4">
        <f t="shared" si="0"/>
        <v>20</v>
      </c>
      <c r="F6" t="s">
        <v>11</v>
      </c>
    </row>
    <row r="7" spans="1:6" ht="12.75">
      <c r="A7" t="s">
        <v>14</v>
      </c>
      <c r="B7" s="5">
        <v>200</v>
      </c>
      <c r="C7" s="5">
        <v>50</v>
      </c>
      <c r="D7" s="4">
        <f t="shared" si="0"/>
        <v>4</v>
      </c>
      <c r="F7" t="s">
        <v>59</v>
      </c>
    </row>
    <row r="8" spans="1:6" ht="12.75">
      <c r="A8" t="s">
        <v>12</v>
      </c>
      <c r="B8" s="5">
        <f>(3*16)+7</f>
        <v>55</v>
      </c>
      <c r="C8" s="5">
        <v>1.5</v>
      </c>
      <c r="D8" s="4">
        <f t="shared" si="0"/>
        <v>36.666666666666664</v>
      </c>
      <c r="F8" t="s">
        <v>13</v>
      </c>
    </row>
    <row r="9" spans="1:6" ht="12.75">
      <c r="A9" t="s">
        <v>16</v>
      </c>
      <c r="B9" s="5">
        <v>700</v>
      </c>
      <c r="C9" s="5">
        <v>12</v>
      </c>
      <c r="D9" s="4">
        <f t="shared" si="0"/>
        <v>58.333333333333336</v>
      </c>
      <c r="F9" t="s">
        <v>60</v>
      </c>
    </row>
    <row r="11" spans="1:4" ht="12.75">
      <c r="A11" s="14" t="s">
        <v>29</v>
      </c>
      <c r="D11" s="26">
        <f>SUM(D4:D9)</f>
        <v>186.16666666666666</v>
      </c>
    </row>
    <row r="12" ht="12.75">
      <c r="A12" t="s">
        <v>10</v>
      </c>
    </row>
    <row r="21" ht="12.75">
      <c r="A2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28" sqref="C28"/>
    </sheetView>
  </sheetViews>
  <sheetFormatPr defaultColWidth="9.140625" defaultRowHeight="12.75"/>
  <cols>
    <col min="1" max="1" width="5.140625" style="0" customWidth="1"/>
    <col min="2" max="2" width="19.28125" style="0" customWidth="1"/>
    <col min="3" max="4" width="9.140625" style="31" customWidth="1"/>
    <col min="5" max="5" width="9.140625" style="29" customWidth="1"/>
    <col min="6" max="6" width="8.57421875" style="29" customWidth="1"/>
    <col min="7" max="7" width="7.00390625" style="0" customWidth="1"/>
  </cols>
  <sheetData>
    <row r="1" spans="1:4" ht="12.75">
      <c r="A1" s="1" t="s">
        <v>30</v>
      </c>
      <c r="C1" s="30" t="s">
        <v>34</v>
      </c>
      <c r="D1" s="30" t="s">
        <v>35</v>
      </c>
    </row>
    <row r="2" spans="2:5" ht="12.75">
      <c r="B2" t="s">
        <v>33</v>
      </c>
      <c r="C2" s="31">
        <v>1.26</v>
      </c>
      <c r="D2" s="31">
        <f>18/2.54/10</f>
        <v>0.7086614173228346</v>
      </c>
      <c r="E2" s="29" t="s">
        <v>37</v>
      </c>
    </row>
    <row r="3" spans="2:4" ht="12.75">
      <c r="B3" t="s">
        <v>32</v>
      </c>
      <c r="C3" s="31">
        <v>1.181</v>
      </c>
      <c r="D3" s="31">
        <f>0.25+0.079</f>
        <v>0.329</v>
      </c>
    </row>
    <row r="4" spans="2:4" ht="12.75">
      <c r="B4" t="s">
        <v>36</v>
      </c>
      <c r="C4" s="31">
        <f>C2-C3</f>
        <v>0.07899999999999996</v>
      </c>
      <c r="D4" s="31">
        <f>D2-D3</f>
        <v>0.3796614173228346</v>
      </c>
    </row>
    <row r="6" ht="12.75">
      <c r="A6" s="1" t="s">
        <v>31</v>
      </c>
    </row>
    <row r="7" spans="2:5" ht="12.75">
      <c r="B7" t="s">
        <v>33</v>
      </c>
      <c r="C7" s="31">
        <v>0.63</v>
      </c>
      <c r="D7" s="31">
        <f>0.335+0.23</f>
        <v>0.5650000000000001</v>
      </c>
      <c r="E7" s="29" t="s">
        <v>37</v>
      </c>
    </row>
    <row r="8" spans="2:4" ht="12.75">
      <c r="B8" t="s">
        <v>32</v>
      </c>
      <c r="C8" s="31">
        <v>0.551</v>
      </c>
      <c r="D8" s="31">
        <f>0.079+0.23</f>
        <v>0.309</v>
      </c>
    </row>
    <row r="9" spans="2:4" ht="12.75">
      <c r="B9" t="s">
        <v>36</v>
      </c>
      <c r="C9" s="31">
        <f>C7-C8</f>
        <v>0.07899999999999996</v>
      </c>
      <c r="D9" s="31">
        <f>D7-D8</f>
        <v>0.25600000000000006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B1">
      <selection activeCell="S7" sqref="S7"/>
    </sheetView>
  </sheetViews>
  <sheetFormatPr defaultColWidth="9.140625" defaultRowHeight="12.75"/>
  <cols>
    <col min="1" max="1" width="28.7109375" style="53" bestFit="1" customWidth="1"/>
    <col min="2" max="2" width="6.8515625" style="63" customWidth="1"/>
    <col min="3" max="3" width="6.7109375" style="64" customWidth="1"/>
    <col min="4" max="4" width="3.8515625" style="52" customWidth="1"/>
    <col min="5" max="5" width="6.7109375" style="64" customWidth="1"/>
    <col min="6" max="6" width="3.421875" style="52" customWidth="1"/>
    <col min="7" max="7" width="6.00390625" style="52" customWidth="1"/>
    <col min="8" max="8" width="6.00390625" style="66" customWidth="1"/>
    <col min="9" max="9" width="6.7109375" style="64" customWidth="1"/>
    <col min="10" max="10" width="3.8515625" style="64" customWidth="1"/>
    <col min="11" max="11" width="6.7109375" style="64" customWidth="1"/>
    <col min="12" max="12" width="3.421875" style="64" customWidth="1"/>
    <col min="13" max="13" width="6.00390625" style="64" customWidth="1"/>
    <col min="14" max="14" width="6.00390625" style="66" customWidth="1"/>
    <col min="15" max="15" width="6.7109375" style="64" customWidth="1"/>
    <col min="16" max="16" width="3.8515625" style="64" customWidth="1"/>
    <col min="17" max="17" width="6.7109375" style="64" customWidth="1"/>
    <col min="18" max="18" width="3.8515625" style="64" customWidth="1"/>
    <col min="19" max="19" width="6.00390625" style="64" customWidth="1"/>
    <col min="20" max="20" width="6.00390625" style="66" customWidth="1"/>
    <col min="21" max="21" width="6.7109375" style="64" customWidth="1"/>
    <col min="22" max="22" width="3.8515625" style="64" customWidth="1"/>
    <col min="23" max="23" width="6.7109375" style="64" customWidth="1"/>
    <col min="24" max="24" width="3.421875" style="64" customWidth="1"/>
    <col min="25" max="25" width="6.00390625" style="64" customWidth="1"/>
    <col min="26" max="26" width="6.00390625" style="66" customWidth="1"/>
    <col min="27" max="27" width="4.57421875" style="53" customWidth="1"/>
    <col min="28" max="28" width="46.421875" style="54" bestFit="1" customWidth="1"/>
  </cols>
  <sheetData>
    <row r="1" spans="1:28" s="39" customFormat="1" ht="12.75">
      <c r="A1" s="53"/>
      <c r="B1" s="70"/>
      <c r="C1" s="85" t="s">
        <v>43</v>
      </c>
      <c r="D1" s="85"/>
      <c r="E1" s="85"/>
      <c r="F1" s="85"/>
      <c r="G1" s="85"/>
      <c r="H1" s="85"/>
      <c r="I1" s="98" t="s">
        <v>44</v>
      </c>
      <c r="J1" s="98"/>
      <c r="K1" s="98"/>
      <c r="L1" s="98"/>
      <c r="M1" s="98"/>
      <c r="N1" s="98"/>
      <c r="O1" s="85" t="s">
        <v>45</v>
      </c>
      <c r="P1" s="85"/>
      <c r="Q1" s="85"/>
      <c r="R1" s="85"/>
      <c r="S1" s="85"/>
      <c r="T1" s="85"/>
      <c r="U1" s="98" t="s">
        <v>46</v>
      </c>
      <c r="V1" s="98"/>
      <c r="W1" s="98"/>
      <c r="X1" s="98"/>
      <c r="Y1" s="98"/>
      <c r="Z1" s="98"/>
      <c r="AA1" s="53"/>
      <c r="AB1" s="54"/>
    </row>
    <row r="2" spans="1:28" s="12" customFormat="1" ht="12.75">
      <c r="A2" s="55"/>
      <c r="B2" s="71" t="s">
        <v>39</v>
      </c>
      <c r="C2" s="86" t="s">
        <v>49</v>
      </c>
      <c r="D2" s="88"/>
      <c r="E2" s="88"/>
      <c r="F2" s="87"/>
      <c r="G2" s="86" t="s">
        <v>50</v>
      </c>
      <c r="H2" s="87"/>
      <c r="I2" s="92" t="s">
        <v>49</v>
      </c>
      <c r="J2" s="93"/>
      <c r="K2" s="93"/>
      <c r="L2" s="94"/>
      <c r="M2" s="92" t="s">
        <v>50</v>
      </c>
      <c r="N2" s="94"/>
      <c r="O2" s="86" t="s">
        <v>49</v>
      </c>
      <c r="P2" s="88"/>
      <c r="Q2" s="88"/>
      <c r="R2" s="87"/>
      <c r="S2" s="86" t="s">
        <v>50</v>
      </c>
      <c r="T2" s="87"/>
      <c r="U2" s="92" t="s">
        <v>49</v>
      </c>
      <c r="V2" s="93"/>
      <c r="W2" s="93"/>
      <c r="X2" s="94"/>
      <c r="Y2" s="92" t="s">
        <v>50</v>
      </c>
      <c r="Z2" s="94"/>
      <c r="AA2" s="56"/>
      <c r="AB2" s="55"/>
    </row>
    <row r="3" spans="1:28" s="32" customFormat="1" ht="12.75">
      <c r="A3" s="57" t="s">
        <v>38</v>
      </c>
      <c r="B3" s="72" t="s">
        <v>40</v>
      </c>
      <c r="C3" s="89" t="s">
        <v>41</v>
      </c>
      <c r="D3" s="90"/>
      <c r="E3" s="90" t="s">
        <v>42</v>
      </c>
      <c r="F3" s="91"/>
      <c r="G3" s="47" t="s">
        <v>47</v>
      </c>
      <c r="H3" s="48" t="s">
        <v>48</v>
      </c>
      <c r="I3" s="95" t="s">
        <v>41</v>
      </c>
      <c r="J3" s="96"/>
      <c r="K3" s="96" t="s">
        <v>42</v>
      </c>
      <c r="L3" s="97"/>
      <c r="M3" s="46" t="s">
        <v>47</v>
      </c>
      <c r="N3" s="38" t="s">
        <v>48</v>
      </c>
      <c r="O3" s="89" t="s">
        <v>41</v>
      </c>
      <c r="P3" s="90"/>
      <c r="Q3" s="90" t="s">
        <v>42</v>
      </c>
      <c r="R3" s="91"/>
      <c r="S3" s="47" t="s">
        <v>47</v>
      </c>
      <c r="T3" s="48" t="s">
        <v>48</v>
      </c>
      <c r="U3" s="95" t="s">
        <v>41</v>
      </c>
      <c r="V3" s="96"/>
      <c r="W3" s="96" t="s">
        <v>42</v>
      </c>
      <c r="X3" s="97"/>
      <c r="Y3" s="46" t="s">
        <v>47</v>
      </c>
      <c r="Z3" s="38" t="s">
        <v>48</v>
      </c>
      <c r="AA3" s="58"/>
      <c r="AB3" s="57" t="s">
        <v>3</v>
      </c>
    </row>
    <row r="4" spans="1:28" ht="12.75">
      <c r="A4" s="53" t="s">
        <v>70</v>
      </c>
      <c r="B4" s="73">
        <v>1.75</v>
      </c>
      <c r="C4" s="41"/>
      <c r="D4" s="60">
        <f>IF(C4&gt;0,(C4-'Brake Wear'!$C$3)/('Brake Wear'!$C$2-'Brake Wear'!$C$3),"")</f>
      </c>
      <c r="E4" s="59">
        <v>1.217</v>
      </c>
      <c r="F4" s="33">
        <f>IF(E4&gt;0,(E4-'Brake Wear'!$C$3)/('Brake Wear'!$C$2-'Brake Wear'!$C$3),"")</f>
        <v>0.4556962025316462</v>
      </c>
      <c r="G4" s="50">
        <f>IF(AND(ISNONTEXT(D4),ISNONTEXT(F4),ISNUMBER(F4),$B4&gt;0,D4&gt;0),(1/(D4-F4)*$B4)*F4,IF(AND(ISNUMBER(H3),ISNUMBER(D4),H3&gt;0,D4&gt;0),H3*D4,""))</f>
      </c>
      <c r="H4" s="77">
        <f>IF(AND(ISNONTEXT(D4),ISNUMBER(D4),ISNONTEXT(F4),ISNUMBER(F4)),1/(D4-F4)*$B4,"")</f>
      </c>
      <c r="I4" s="40">
        <v>0.709</v>
      </c>
      <c r="J4" s="62">
        <f>IF(I4&gt;0,(I4-'Brake Wear'!$D$3)/('Brake Wear'!$D$2-'Brake Wear'!$D$3),"")</f>
        <v>1.000891801646722</v>
      </c>
      <c r="K4" s="61">
        <v>0.54</v>
      </c>
      <c r="L4" s="35">
        <f>IF(K4&gt;0,(K4-'Brake Wear'!$D$3)/('Brake Wear'!$D$2-'Brake Wear'!$D$3),"")</f>
        <v>0.5557583424933116</v>
      </c>
      <c r="M4" s="51">
        <f>IF(AND(ISNONTEXT(J4),ISNONTEXT(L4),ISNUMBER(L4),$B4&gt;0,J4&gt;0),(1/(J4-L4)*$B4)*L4,IF(AND(ISNUMBER(N3),ISNUMBER(J4),N3&gt;0,J4&gt;0),N3*J4,""))</f>
        <v>2.184911242603551</v>
      </c>
      <c r="N4" s="42">
        <f>IF(AND(ISNONTEXT(J4),ISNUMBER(J4),ISNONTEXT(L4),ISNUMBER(L4)),1/(J4-L4)*$B4,"")</f>
        <v>3.931405208964265</v>
      </c>
      <c r="O4" s="41"/>
      <c r="P4" s="60">
        <f>IF(O4&gt;0,(O4-'Brake Wear'!$C$8)/('Brake Wear'!$C$7-'Brake Wear'!$C$8),"")</f>
      </c>
      <c r="Q4" s="59"/>
      <c r="R4" s="33">
        <f>IF(Q4&gt;0,(Q4-'Brake Wear'!$C$8)/('Brake Wear'!$C$7-'Brake Wear'!$C$8),"")</f>
      </c>
      <c r="S4" s="50">
        <f>IF(AND(ISNONTEXT(P4),ISNONTEXT(R4),ISNUMBER(R4),$B4&gt;0,P4&gt;0),(1/(P4-R4)*$B4)*R4,IF(AND(ISNUMBER(T3),ISNUMBER(P4),T3&gt;0,P4&gt;0),T3*P4,""))</f>
      </c>
      <c r="T4" s="77">
        <f>IF(AND(ISNONTEXT(P4),ISNUMBER(P4),ISNONTEXT(R4),ISNUMBER(R4)),1/(P4-R4)*$B4,"")</f>
      </c>
      <c r="U4" s="40">
        <v>0.565</v>
      </c>
      <c r="V4" s="62">
        <f>IF(U4&gt;0,(U4-'Brake Wear'!$D$8)/('Brake Wear'!$D$7-'Brake Wear'!$D$8),"")</f>
        <v>0.9999999999999996</v>
      </c>
      <c r="W4" s="61">
        <v>0.3</v>
      </c>
      <c r="X4" s="35">
        <f>IF(W4&gt;0,(W4-'Brake Wear'!$D$8)/('Brake Wear'!$D$7-'Brake Wear'!$D$8),"")</f>
        <v>-0.03515625000000002</v>
      </c>
      <c r="Y4" s="51">
        <f>IF(AND(ISNONTEXT(V4),ISNONTEXT(X4),ISNUMBER(X4),$B4&gt;0,V4&gt;0),(1/(V4-X4)*$B4)*X4,IF(AND(ISNUMBER(Z3),ISNUMBER(V4),Z3&gt;0,V4&gt;0),Z3*V4,""))</f>
        <v>-0.059433962264151007</v>
      </c>
      <c r="Z4" s="42">
        <f>IF(AND(ISNONTEXT(V4),ISNUMBER(V4),ISNONTEXT(X4),ISNUMBER(X4)),1/(V4-X4)*$B4,"")</f>
        <v>1.6905660377358498</v>
      </c>
      <c r="AB4" s="54" t="s">
        <v>58</v>
      </c>
    </row>
    <row r="5" spans="1:28" ht="12.75">
      <c r="A5" s="53" t="s">
        <v>71</v>
      </c>
      <c r="B5" s="73">
        <v>1.75</v>
      </c>
      <c r="C5" s="41">
        <v>1.217</v>
      </c>
      <c r="D5" s="60">
        <f>IF(C5&gt;0,(C5-'Brake Wear'!$C$3)/('Brake Wear'!$C$2-'Brake Wear'!$C$3),"")</f>
        <v>0.4556962025316462</v>
      </c>
      <c r="E5" s="59">
        <v>1.212</v>
      </c>
      <c r="F5" s="33">
        <f>IF(E5&gt;0,(E5-'Brake Wear'!$C$3)/('Brake Wear'!$C$2-'Brake Wear'!$C$3),"")</f>
        <v>0.3924050632911384</v>
      </c>
      <c r="G5" s="50">
        <f aca="true" t="shared" si="0" ref="G5:G23">IF(AND(ISNONTEXT(D5),ISNONTEXT(F5),ISNUMBER(F5),$B5&gt;0,D5&gt;0),(1/(D5-F5)*$B5)*F5,IF(AND(ISNUMBER(H4),ISNUMBER(D5),H4&gt;0,D5&gt;0),H4*D5,""))</f>
        <v>10.849999999999717</v>
      </c>
      <c r="H5" s="77">
        <f aca="true" t="shared" si="1" ref="H5:H23">IF(AND(ISNONTEXT(D5),ISNUMBER(D5),ISNONTEXT(F5),ISNUMBER(F5)),1/(D5-F5)*$B5,"")</f>
        <v>27.64999999999934</v>
      </c>
      <c r="I5" s="40">
        <v>0.54</v>
      </c>
      <c r="J5" s="62">
        <f>IF(I5&gt;0,(I5-'Brake Wear'!$D$3)/('Brake Wear'!$D$2-'Brake Wear'!$D$3),"")</f>
        <v>0.5557583424933116</v>
      </c>
      <c r="K5" s="61">
        <v>0.39</v>
      </c>
      <c r="L5" s="35">
        <f>IF(K5&gt;0,(K5-'Brake Wear'!$D$3)/('Brake Wear'!$D$2-'Brake Wear'!$D$3),"")</f>
        <v>0.160669473422237</v>
      </c>
      <c r="M5" s="51">
        <f aca="true" t="shared" si="2" ref="M5:M24">IF(AND(ISNONTEXT(J5),ISNONTEXT(L5),ISNUMBER(L5),$B5&gt;0,J5&gt;0),(1/(J5-L5)*$B5)*L5,IF(AND(ISNUMBER(N4),ISNUMBER(J5),N4&gt;0,J5&gt;0),N4*J5,""))</f>
        <v>0.7116666666666668</v>
      </c>
      <c r="N5" s="42">
        <f aca="true" t="shared" si="3" ref="N5:N24">IF(AND(ISNONTEXT(J5),ISNUMBER(J5),ISNONTEXT(L5),ISNUMBER(L5)),1/(J5-L5)*$B5,"")</f>
        <v>4.4293832020997375</v>
      </c>
      <c r="O5" s="41">
        <v>0.63</v>
      </c>
      <c r="P5" s="60">
        <f>IF(O5&gt;0,(O5-'Brake Wear'!$C$8)/('Brake Wear'!$C$7-'Brake Wear'!$C$8),"")</f>
        <v>1</v>
      </c>
      <c r="Q5" s="59">
        <v>0.623</v>
      </c>
      <c r="R5" s="33">
        <f>IF(Q5&gt;0,(Q5-'Brake Wear'!$C$8)/('Brake Wear'!$C$7-'Brake Wear'!$C$8),"")</f>
        <v>0.911392405063291</v>
      </c>
      <c r="S5" s="50">
        <f aca="true" t="shared" si="4" ref="S5:S24">IF(AND(ISNONTEXT(P5),ISNONTEXT(R5),ISNUMBER(R5),$B5&gt;0,P5&gt;0),(1/(P5-R5)*$B5)*R5,IF(AND(ISNUMBER(T4),ISNUMBER(P5),T4&gt;0,P5&gt;0),T4*P5,""))</f>
        <v>17.99999999999997</v>
      </c>
      <c r="T5" s="77">
        <f aca="true" t="shared" si="5" ref="T5:T24">IF(AND(ISNONTEXT(P5),ISNUMBER(P5),ISNONTEXT(R5),ISNUMBER(R5)),1/(P5-R5)*$B5,"")</f>
        <v>19.74999999999997</v>
      </c>
      <c r="U5" s="40">
        <v>0.565</v>
      </c>
      <c r="V5" s="62">
        <f>IF(U5&gt;0,(U5-'Brake Wear'!$D$8)/('Brake Wear'!$D$7-'Brake Wear'!$D$8),"")</f>
        <v>0.9999999999999996</v>
      </c>
      <c r="W5" s="61">
        <v>0.451</v>
      </c>
      <c r="X5" s="35">
        <f>IF(W5&gt;0,(W5-'Brake Wear'!$D$8)/('Brake Wear'!$D$7-'Brake Wear'!$D$8),"")</f>
        <v>0.5546874999999999</v>
      </c>
      <c r="Y5" s="51">
        <f aca="true" t="shared" si="6" ref="Y5:Y24">IF(AND(ISNONTEXT(V5),ISNONTEXT(X5),ISNUMBER(X5),$B5&gt;0,V5&gt;0),(1/(V5-X5)*$B5)*X5,IF(AND(ISNUMBER(Z4),ISNUMBER(V5),Z4&gt;0,V5&gt;0),Z4*V5,""))</f>
        <v>2.17982456140351</v>
      </c>
      <c r="Z5" s="42">
        <f aca="true" t="shared" si="7" ref="Z5:Z24">IF(AND(ISNONTEXT(V5),ISNUMBER(V5),ISNONTEXT(X5),ISNUMBER(X5)),1/(V5-X5)*$B5,"")</f>
        <v>3.9298245614035117</v>
      </c>
      <c r="AB5" s="54" t="s">
        <v>57</v>
      </c>
    </row>
    <row r="6" spans="1:28" ht="12.75">
      <c r="A6" s="53" t="s">
        <v>66</v>
      </c>
      <c r="B6" s="73">
        <v>3</v>
      </c>
      <c r="C6" s="41">
        <v>1.206</v>
      </c>
      <c r="D6" s="60">
        <f>IF(C6&gt;0,(C6-'Brake Wear'!$C$3)/('Brake Wear'!$C$2-'Brake Wear'!$C$3),"")</f>
        <v>0.31645569620253067</v>
      </c>
      <c r="E6" s="59">
        <v>1.192</v>
      </c>
      <c r="F6" s="33">
        <f>IF(E6&gt;0,(E6-'Brake Wear'!$C$3)/('Brake Wear'!$C$2-'Brake Wear'!$C$3),"")</f>
        <v>0.13924050632911272</v>
      </c>
      <c r="G6" s="50">
        <f t="shared" si="0"/>
        <v>2.357142857142834</v>
      </c>
      <c r="H6" s="77">
        <f t="shared" si="1"/>
        <v>16.92857142857141</v>
      </c>
      <c r="I6" s="40">
        <v>0.709</v>
      </c>
      <c r="J6" s="62">
        <f>IF(I6&gt;0,(I6-'Brake Wear'!$D$3)/('Brake Wear'!$D$2-'Brake Wear'!$D$3),"")</f>
        <v>1.000891801646722</v>
      </c>
      <c r="K6" s="61">
        <v>0.516</v>
      </c>
      <c r="L6" s="35">
        <f>IF(K6&gt;0,(K6-'Brake Wear'!$D$3)/('Brake Wear'!$D$2-'Brake Wear'!$D$3),"")</f>
        <v>0.49254412344193965</v>
      </c>
      <c r="M6" s="51">
        <f t="shared" si="2"/>
        <v>2.906735751295338</v>
      </c>
      <c r="N6" s="42">
        <f t="shared" si="3"/>
        <v>5.9014728081269645</v>
      </c>
      <c r="O6" s="41">
        <v>0.623</v>
      </c>
      <c r="P6" s="60">
        <f>IF(O6&gt;0,(O6-'Brake Wear'!$C$8)/('Brake Wear'!$C$7-'Brake Wear'!$C$8),"")</f>
        <v>0.911392405063291</v>
      </c>
      <c r="Q6" s="59">
        <v>0.621</v>
      </c>
      <c r="R6" s="33">
        <f>IF(Q6&gt;0,(Q6-'Brake Wear'!$C$8)/('Brake Wear'!$C$7-'Brake Wear'!$C$8),"")</f>
        <v>0.8860759493670884</v>
      </c>
      <c r="S6" s="50">
        <f t="shared" si="4"/>
        <v>104.99999999999989</v>
      </c>
      <c r="T6" s="77">
        <f t="shared" si="5"/>
        <v>118.49999999999989</v>
      </c>
      <c r="U6" s="40">
        <v>0.565</v>
      </c>
      <c r="V6" s="62">
        <f>IF(U6&gt;0,(U6-'Brake Wear'!$D$8)/('Brake Wear'!$D$7-'Brake Wear'!$D$8),"")</f>
        <v>0.9999999999999996</v>
      </c>
      <c r="W6" s="61">
        <v>0.405</v>
      </c>
      <c r="X6" s="35">
        <f>IF(W6&gt;0,(W6-'Brake Wear'!$D$8)/('Brake Wear'!$D$7-'Brake Wear'!$D$8),"")</f>
        <v>0.375</v>
      </c>
      <c r="Y6" s="51">
        <f t="shared" si="6"/>
        <v>1.8000000000000012</v>
      </c>
      <c r="Z6" s="42">
        <f t="shared" si="7"/>
        <v>4.800000000000003</v>
      </c>
      <c r="AB6" s="54" t="s">
        <v>72</v>
      </c>
    </row>
    <row r="7" spans="1:28" ht="12.75">
      <c r="A7" s="53" t="s">
        <v>67</v>
      </c>
      <c r="B7" s="73">
        <v>1.67</v>
      </c>
      <c r="C7" s="41">
        <v>1.192</v>
      </c>
      <c r="D7" s="60">
        <f>IF(C7&gt;0,(C7-'Brake Wear'!$C$3)/('Brake Wear'!$C$2-'Brake Wear'!$C$3),"")</f>
        <v>0.13924050632911272</v>
      </c>
      <c r="E7" s="59">
        <v>1.185</v>
      </c>
      <c r="F7" s="33">
        <f>IF(E7&gt;0,(E7-'Brake Wear'!$C$3)/('Brake Wear'!$C$2-'Brake Wear'!$C$3),"")</f>
        <v>0.05063291139240513</v>
      </c>
      <c r="G7" s="50">
        <f t="shared" si="0"/>
        <v>0.9542857142857292</v>
      </c>
      <c r="H7" s="77">
        <f t="shared" si="1"/>
        <v>18.847142857143126</v>
      </c>
      <c r="I7" s="40">
        <v>0.516</v>
      </c>
      <c r="J7" s="62">
        <f>IF(I7&gt;0,(I7-'Brake Wear'!$D$3)/('Brake Wear'!$D$2-'Brake Wear'!$D$3),"")</f>
        <v>0.49254412344193965</v>
      </c>
      <c r="K7" s="61">
        <v>0.42</v>
      </c>
      <c r="L7" s="35">
        <f>IF(K7&gt;0,(K7-'Brake Wear'!$D$3)/('Brake Wear'!$D$2-'Brake Wear'!$D$3),"")</f>
        <v>0.23968724723645182</v>
      </c>
      <c r="M7" s="51">
        <f t="shared" si="2"/>
        <v>1.5830208333333322</v>
      </c>
      <c r="N7" s="42">
        <f t="shared" si="3"/>
        <v>6.604526738845141</v>
      </c>
      <c r="O7" s="41">
        <v>0.621</v>
      </c>
      <c r="P7" s="60">
        <f>IF(O7&gt;0,(O7-'Brake Wear'!$C$8)/('Brake Wear'!$C$7-'Brake Wear'!$C$8),"")</f>
        <v>0.8860759493670884</v>
      </c>
      <c r="Q7" s="59">
        <v>0.62</v>
      </c>
      <c r="R7" s="33">
        <f>IF(Q7&gt;0,(Q7-'Brake Wear'!$C$8)/('Brake Wear'!$C$7-'Brake Wear'!$C$8),"")</f>
        <v>0.8734177215189871</v>
      </c>
      <c r="S7" s="50">
        <f t="shared" si="4"/>
        <v>115.22999999999935</v>
      </c>
      <c r="T7" s="77">
        <f t="shared" si="5"/>
        <v>131.9299999999993</v>
      </c>
      <c r="U7" s="40"/>
      <c r="V7" s="62">
        <f>IF(U7&gt;0,(U7-'Brake Wear'!$D$8)/('Brake Wear'!$D$7-'Brake Wear'!$D$8),"")</f>
      </c>
      <c r="W7" s="61"/>
      <c r="X7" s="35">
        <f>IF(W7&gt;0,(W7-'Brake Wear'!$D$8)/('Brake Wear'!$D$7-'Brake Wear'!$D$8),"")</f>
      </c>
      <c r="Y7" s="51">
        <f t="shared" si="6"/>
      </c>
      <c r="Z7" s="42">
        <f t="shared" si="7"/>
      </c>
      <c r="AB7" s="54" t="s">
        <v>72</v>
      </c>
    </row>
    <row r="8" spans="2:26" ht="12.75">
      <c r="B8" s="73"/>
      <c r="C8" s="41"/>
      <c r="D8" s="49"/>
      <c r="E8" s="59"/>
      <c r="F8" s="34"/>
      <c r="G8" s="50">
        <f t="shared" si="0"/>
      </c>
      <c r="H8" s="77">
        <f t="shared" si="1"/>
      </c>
      <c r="I8" s="40"/>
      <c r="J8" s="61"/>
      <c r="K8" s="61"/>
      <c r="L8" s="36"/>
      <c r="M8" s="51">
        <f t="shared" si="2"/>
      </c>
      <c r="N8" s="42">
        <f t="shared" si="3"/>
      </c>
      <c r="O8" s="41"/>
      <c r="P8" s="59"/>
      <c r="Q8" s="59"/>
      <c r="R8" s="37"/>
      <c r="S8" s="50">
        <f t="shared" si="4"/>
      </c>
      <c r="T8" s="77">
        <f t="shared" si="5"/>
      </c>
      <c r="U8" s="40"/>
      <c r="V8" s="61"/>
      <c r="W8" s="61"/>
      <c r="X8" s="36"/>
      <c r="Y8" s="51">
        <f t="shared" si="6"/>
      </c>
      <c r="Z8" s="42">
        <f t="shared" si="7"/>
      </c>
    </row>
    <row r="9" spans="2:26" ht="12.75">
      <c r="B9" s="73"/>
      <c r="C9" s="41"/>
      <c r="D9" s="49"/>
      <c r="E9" s="59"/>
      <c r="F9" s="34"/>
      <c r="G9" s="50">
        <f t="shared" si="0"/>
      </c>
      <c r="H9" s="77">
        <f t="shared" si="1"/>
      </c>
      <c r="I9" s="40"/>
      <c r="J9" s="61"/>
      <c r="K9" s="61"/>
      <c r="L9" s="36"/>
      <c r="M9" s="51">
        <f t="shared" si="2"/>
      </c>
      <c r="N9" s="42">
        <f t="shared" si="3"/>
      </c>
      <c r="O9" s="41"/>
      <c r="P9" s="59"/>
      <c r="Q9" s="59"/>
      <c r="R9" s="37"/>
      <c r="S9" s="50">
        <f t="shared" si="4"/>
      </c>
      <c r="T9" s="77">
        <f t="shared" si="5"/>
      </c>
      <c r="U9" s="40"/>
      <c r="V9" s="61"/>
      <c r="W9" s="61"/>
      <c r="X9" s="36"/>
      <c r="Y9" s="51">
        <f t="shared" si="6"/>
      </c>
      <c r="Z9" s="42">
        <f t="shared" si="7"/>
      </c>
    </row>
    <row r="10" spans="2:26" ht="12.75">
      <c r="B10" s="73"/>
      <c r="C10" s="41"/>
      <c r="D10" s="49"/>
      <c r="E10" s="59"/>
      <c r="F10" s="34"/>
      <c r="G10" s="50">
        <f t="shared" si="0"/>
      </c>
      <c r="H10" s="77">
        <f t="shared" si="1"/>
      </c>
      <c r="I10" s="40"/>
      <c r="J10" s="61"/>
      <c r="K10" s="61"/>
      <c r="L10" s="36"/>
      <c r="M10" s="51">
        <f t="shared" si="2"/>
      </c>
      <c r="N10" s="42">
        <f t="shared" si="3"/>
      </c>
      <c r="O10" s="41"/>
      <c r="P10" s="59"/>
      <c r="Q10" s="59"/>
      <c r="R10" s="37"/>
      <c r="S10" s="50">
        <f t="shared" si="4"/>
      </c>
      <c r="T10" s="77">
        <f t="shared" si="5"/>
      </c>
      <c r="U10" s="40"/>
      <c r="V10" s="61"/>
      <c r="W10" s="61"/>
      <c r="X10" s="36"/>
      <c r="Y10" s="51">
        <f t="shared" si="6"/>
      </c>
      <c r="Z10" s="42">
        <f t="shared" si="7"/>
      </c>
    </row>
    <row r="11" spans="2:26" ht="12.75">
      <c r="B11" s="73"/>
      <c r="C11" s="41"/>
      <c r="D11" s="49"/>
      <c r="E11" s="59"/>
      <c r="F11" s="34"/>
      <c r="G11" s="50">
        <f t="shared" si="0"/>
      </c>
      <c r="H11" s="77">
        <f t="shared" si="1"/>
      </c>
      <c r="I11" s="40"/>
      <c r="J11" s="61"/>
      <c r="K11" s="61"/>
      <c r="L11" s="36"/>
      <c r="M11" s="51">
        <f t="shared" si="2"/>
      </c>
      <c r="N11" s="42">
        <f t="shared" si="3"/>
      </c>
      <c r="O11" s="41"/>
      <c r="P11" s="59"/>
      <c r="Q11" s="59"/>
      <c r="R11" s="37"/>
      <c r="S11" s="50">
        <f t="shared" si="4"/>
      </c>
      <c r="T11" s="77">
        <f t="shared" si="5"/>
      </c>
      <c r="U11" s="40"/>
      <c r="V11" s="61"/>
      <c r="W11" s="61"/>
      <c r="X11" s="36"/>
      <c r="Y11" s="51">
        <f t="shared" si="6"/>
      </c>
      <c r="Z11" s="42">
        <f t="shared" si="7"/>
      </c>
    </row>
    <row r="12" spans="2:26" ht="12.75">
      <c r="B12" s="73"/>
      <c r="C12" s="41"/>
      <c r="D12" s="49"/>
      <c r="E12" s="59"/>
      <c r="F12" s="34"/>
      <c r="G12" s="50">
        <f t="shared" si="0"/>
      </c>
      <c r="H12" s="77">
        <f t="shared" si="1"/>
      </c>
      <c r="I12" s="40"/>
      <c r="J12" s="61"/>
      <c r="K12" s="61"/>
      <c r="L12" s="36"/>
      <c r="M12" s="51">
        <f t="shared" si="2"/>
      </c>
      <c r="N12" s="42">
        <f t="shared" si="3"/>
      </c>
      <c r="O12" s="41"/>
      <c r="P12" s="59"/>
      <c r="Q12" s="59"/>
      <c r="R12" s="37"/>
      <c r="S12" s="50">
        <f t="shared" si="4"/>
      </c>
      <c r="T12" s="77">
        <f t="shared" si="5"/>
      </c>
      <c r="U12" s="40"/>
      <c r="V12" s="61"/>
      <c r="W12" s="61"/>
      <c r="X12" s="36"/>
      <c r="Y12" s="51">
        <f t="shared" si="6"/>
      </c>
      <c r="Z12" s="42">
        <f t="shared" si="7"/>
      </c>
    </row>
    <row r="13" spans="2:26" ht="12.75">
      <c r="B13" s="73"/>
      <c r="C13" s="41"/>
      <c r="D13" s="49"/>
      <c r="E13" s="59"/>
      <c r="F13" s="34"/>
      <c r="G13" s="50">
        <f t="shared" si="0"/>
      </c>
      <c r="H13" s="77">
        <f t="shared" si="1"/>
      </c>
      <c r="I13" s="40"/>
      <c r="J13" s="61"/>
      <c r="K13" s="61"/>
      <c r="L13" s="36"/>
      <c r="M13" s="51">
        <f t="shared" si="2"/>
      </c>
      <c r="N13" s="42">
        <f t="shared" si="3"/>
      </c>
      <c r="O13" s="41"/>
      <c r="P13" s="59"/>
      <c r="Q13" s="59"/>
      <c r="R13" s="37"/>
      <c r="S13" s="50">
        <f t="shared" si="4"/>
      </c>
      <c r="T13" s="77">
        <f t="shared" si="5"/>
      </c>
      <c r="U13" s="40"/>
      <c r="V13" s="61"/>
      <c r="W13" s="61"/>
      <c r="X13" s="36"/>
      <c r="Y13" s="51">
        <f t="shared" si="6"/>
      </c>
      <c r="Z13" s="42">
        <f t="shared" si="7"/>
      </c>
    </row>
    <row r="14" spans="2:26" ht="12.75">
      <c r="B14" s="73"/>
      <c r="C14" s="41"/>
      <c r="D14" s="49"/>
      <c r="E14" s="59"/>
      <c r="F14" s="34"/>
      <c r="G14" s="50">
        <f t="shared" si="0"/>
      </c>
      <c r="H14" s="77">
        <f t="shared" si="1"/>
      </c>
      <c r="I14" s="40"/>
      <c r="J14" s="61"/>
      <c r="K14" s="61"/>
      <c r="L14" s="36"/>
      <c r="M14" s="51">
        <f t="shared" si="2"/>
      </c>
      <c r="N14" s="42">
        <f t="shared" si="3"/>
      </c>
      <c r="O14" s="41"/>
      <c r="P14" s="59"/>
      <c r="Q14" s="59"/>
      <c r="R14" s="37"/>
      <c r="S14" s="50">
        <f t="shared" si="4"/>
      </c>
      <c r="T14" s="77">
        <f t="shared" si="5"/>
      </c>
      <c r="U14" s="40"/>
      <c r="V14" s="61"/>
      <c r="W14" s="61"/>
      <c r="X14" s="36"/>
      <c r="Y14" s="51">
        <f t="shared" si="6"/>
      </c>
      <c r="Z14" s="42">
        <f t="shared" si="7"/>
      </c>
    </row>
    <row r="15" spans="2:26" ht="12.75">
      <c r="B15" s="73"/>
      <c r="C15" s="41"/>
      <c r="D15" s="49"/>
      <c r="E15" s="59"/>
      <c r="F15" s="34"/>
      <c r="G15" s="50">
        <f t="shared" si="0"/>
      </c>
      <c r="H15" s="77">
        <f t="shared" si="1"/>
      </c>
      <c r="I15" s="40"/>
      <c r="J15" s="61"/>
      <c r="K15" s="61"/>
      <c r="L15" s="36"/>
      <c r="M15" s="51">
        <f t="shared" si="2"/>
      </c>
      <c r="N15" s="42">
        <f t="shared" si="3"/>
      </c>
      <c r="O15" s="41"/>
      <c r="P15" s="59"/>
      <c r="Q15" s="59"/>
      <c r="R15" s="37"/>
      <c r="S15" s="50">
        <f t="shared" si="4"/>
      </c>
      <c r="T15" s="77">
        <f t="shared" si="5"/>
      </c>
      <c r="U15" s="40"/>
      <c r="V15" s="61"/>
      <c r="W15" s="61"/>
      <c r="X15" s="36"/>
      <c r="Y15" s="51">
        <f t="shared" si="6"/>
      </c>
      <c r="Z15" s="42">
        <f t="shared" si="7"/>
      </c>
    </row>
    <row r="16" spans="2:26" ht="12.75">
      <c r="B16" s="73"/>
      <c r="C16" s="41"/>
      <c r="D16" s="49"/>
      <c r="E16" s="59"/>
      <c r="F16" s="34"/>
      <c r="G16" s="50">
        <f t="shared" si="0"/>
      </c>
      <c r="H16" s="77">
        <f t="shared" si="1"/>
      </c>
      <c r="I16" s="40"/>
      <c r="J16" s="61"/>
      <c r="K16" s="61"/>
      <c r="L16" s="36"/>
      <c r="M16" s="51">
        <f t="shared" si="2"/>
      </c>
      <c r="N16" s="42">
        <f t="shared" si="3"/>
      </c>
      <c r="O16" s="41"/>
      <c r="P16" s="59"/>
      <c r="Q16" s="59"/>
      <c r="R16" s="37"/>
      <c r="S16" s="50">
        <f t="shared" si="4"/>
      </c>
      <c r="T16" s="77">
        <f t="shared" si="5"/>
      </c>
      <c r="U16" s="40"/>
      <c r="V16" s="61"/>
      <c r="W16" s="61"/>
      <c r="X16" s="36"/>
      <c r="Y16" s="51">
        <f t="shared" si="6"/>
      </c>
      <c r="Z16" s="42">
        <f t="shared" si="7"/>
      </c>
    </row>
    <row r="17" spans="2:26" ht="12.75">
      <c r="B17" s="73"/>
      <c r="C17" s="41"/>
      <c r="D17" s="49"/>
      <c r="E17" s="59"/>
      <c r="F17" s="34"/>
      <c r="G17" s="50">
        <f t="shared" si="0"/>
      </c>
      <c r="H17" s="77">
        <f t="shared" si="1"/>
      </c>
      <c r="I17" s="40"/>
      <c r="J17" s="61"/>
      <c r="K17" s="61"/>
      <c r="L17" s="36"/>
      <c r="M17" s="51">
        <f t="shared" si="2"/>
      </c>
      <c r="N17" s="42">
        <f t="shared" si="3"/>
      </c>
      <c r="O17" s="41"/>
      <c r="P17" s="59"/>
      <c r="Q17" s="59"/>
      <c r="R17" s="37"/>
      <c r="S17" s="50">
        <f t="shared" si="4"/>
      </c>
      <c r="T17" s="77">
        <f t="shared" si="5"/>
      </c>
      <c r="U17" s="40"/>
      <c r="V17" s="61"/>
      <c r="W17" s="61"/>
      <c r="X17" s="36"/>
      <c r="Y17" s="51">
        <f t="shared" si="6"/>
      </c>
      <c r="Z17" s="42">
        <f t="shared" si="7"/>
      </c>
    </row>
    <row r="18" spans="2:26" ht="12.75">
      <c r="B18" s="73"/>
      <c r="C18" s="41"/>
      <c r="D18" s="49"/>
      <c r="E18" s="59"/>
      <c r="F18" s="34"/>
      <c r="G18" s="50">
        <f t="shared" si="0"/>
      </c>
      <c r="H18" s="77">
        <f t="shared" si="1"/>
      </c>
      <c r="I18" s="40"/>
      <c r="J18" s="61"/>
      <c r="K18" s="61"/>
      <c r="L18" s="36"/>
      <c r="M18" s="51">
        <f t="shared" si="2"/>
      </c>
      <c r="N18" s="42">
        <f t="shared" si="3"/>
      </c>
      <c r="O18" s="41"/>
      <c r="P18" s="59"/>
      <c r="Q18" s="59"/>
      <c r="R18" s="37"/>
      <c r="S18" s="50">
        <f t="shared" si="4"/>
      </c>
      <c r="T18" s="77">
        <f t="shared" si="5"/>
      </c>
      <c r="U18" s="40"/>
      <c r="V18" s="61"/>
      <c r="W18" s="61"/>
      <c r="X18" s="36"/>
      <c r="Y18" s="51">
        <f t="shared" si="6"/>
      </c>
      <c r="Z18" s="42">
        <f t="shared" si="7"/>
      </c>
    </row>
    <row r="19" spans="2:26" ht="12.75">
      <c r="B19" s="73"/>
      <c r="C19" s="41"/>
      <c r="D19" s="49"/>
      <c r="E19" s="59"/>
      <c r="F19" s="34"/>
      <c r="G19" s="50">
        <f t="shared" si="0"/>
      </c>
      <c r="H19" s="77">
        <f t="shared" si="1"/>
      </c>
      <c r="I19" s="40"/>
      <c r="J19" s="61"/>
      <c r="K19" s="61"/>
      <c r="L19" s="36"/>
      <c r="M19" s="51">
        <f t="shared" si="2"/>
      </c>
      <c r="N19" s="42">
        <f t="shared" si="3"/>
      </c>
      <c r="O19" s="41"/>
      <c r="P19" s="59"/>
      <c r="Q19" s="59"/>
      <c r="R19" s="37"/>
      <c r="S19" s="50">
        <f t="shared" si="4"/>
      </c>
      <c r="T19" s="77">
        <f t="shared" si="5"/>
      </c>
      <c r="U19" s="40"/>
      <c r="V19" s="61"/>
      <c r="W19" s="61"/>
      <c r="X19" s="36"/>
      <c r="Y19" s="51">
        <f t="shared" si="6"/>
      </c>
      <c r="Z19" s="42">
        <f t="shared" si="7"/>
      </c>
    </row>
    <row r="20" spans="2:26" ht="12.75">
      <c r="B20" s="73"/>
      <c r="C20" s="41"/>
      <c r="D20" s="49"/>
      <c r="E20" s="59"/>
      <c r="F20" s="34"/>
      <c r="G20" s="50">
        <f t="shared" si="0"/>
      </c>
      <c r="H20" s="77">
        <f t="shared" si="1"/>
      </c>
      <c r="I20" s="40"/>
      <c r="J20" s="61"/>
      <c r="K20" s="61"/>
      <c r="L20" s="36"/>
      <c r="M20" s="51">
        <f t="shared" si="2"/>
      </c>
      <c r="N20" s="42">
        <f t="shared" si="3"/>
      </c>
      <c r="O20" s="41"/>
      <c r="P20" s="59"/>
      <c r="Q20" s="59"/>
      <c r="R20" s="37"/>
      <c r="S20" s="50">
        <f t="shared" si="4"/>
      </c>
      <c r="T20" s="77">
        <f t="shared" si="5"/>
      </c>
      <c r="U20" s="40"/>
      <c r="V20" s="61"/>
      <c r="W20" s="61"/>
      <c r="X20" s="36"/>
      <c r="Y20" s="51">
        <f t="shared" si="6"/>
      </c>
      <c r="Z20" s="42">
        <f t="shared" si="7"/>
      </c>
    </row>
    <row r="21" spans="2:26" ht="12.75">
      <c r="B21" s="73"/>
      <c r="C21" s="41"/>
      <c r="D21" s="49"/>
      <c r="E21" s="59"/>
      <c r="F21" s="34"/>
      <c r="G21" s="50">
        <f t="shared" si="0"/>
      </c>
      <c r="H21" s="77">
        <f t="shared" si="1"/>
      </c>
      <c r="I21" s="40"/>
      <c r="J21" s="61"/>
      <c r="K21" s="61"/>
      <c r="L21" s="36"/>
      <c r="M21" s="51">
        <f t="shared" si="2"/>
      </c>
      <c r="N21" s="42">
        <f t="shared" si="3"/>
      </c>
      <c r="O21" s="41"/>
      <c r="P21" s="59"/>
      <c r="Q21" s="59"/>
      <c r="R21" s="37"/>
      <c r="S21" s="50">
        <f t="shared" si="4"/>
      </c>
      <c r="T21" s="77">
        <f t="shared" si="5"/>
      </c>
      <c r="U21" s="40"/>
      <c r="V21" s="61"/>
      <c r="W21" s="61"/>
      <c r="X21" s="36"/>
      <c r="Y21" s="51">
        <f t="shared" si="6"/>
      </c>
      <c r="Z21" s="42">
        <f t="shared" si="7"/>
      </c>
    </row>
    <row r="22" spans="2:26" ht="12.75">
      <c r="B22" s="73"/>
      <c r="C22" s="41"/>
      <c r="D22" s="49"/>
      <c r="E22" s="59"/>
      <c r="F22" s="34"/>
      <c r="G22" s="50">
        <f t="shared" si="0"/>
      </c>
      <c r="H22" s="77">
        <f t="shared" si="1"/>
      </c>
      <c r="I22" s="40"/>
      <c r="J22" s="61"/>
      <c r="K22" s="61"/>
      <c r="L22" s="36"/>
      <c r="M22" s="51">
        <f t="shared" si="2"/>
      </c>
      <c r="N22" s="42">
        <f t="shared" si="3"/>
      </c>
      <c r="O22" s="41"/>
      <c r="P22" s="59"/>
      <c r="Q22" s="59"/>
      <c r="R22" s="37"/>
      <c r="S22" s="50">
        <f t="shared" si="4"/>
      </c>
      <c r="T22" s="77">
        <f t="shared" si="5"/>
      </c>
      <c r="U22" s="40"/>
      <c r="V22" s="61"/>
      <c r="W22" s="61"/>
      <c r="X22" s="36"/>
      <c r="Y22" s="51">
        <f t="shared" si="6"/>
      </c>
      <c r="Z22" s="42">
        <f t="shared" si="7"/>
      </c>
    </row>
    <row r="23" spans="2:26" ht="12.75">
      <c r="B23" s="73"/>
      <c r="C23" s="41"/>
      <c r="D23" s="49"/>
      <c r="E23" s="59"/>
      <c r="F23" s="34"/>
      <c r="G23" s="50">
        <f t="shared" si="0"/>
      </c>
      <c r="H23" s="77">
        <f t="shared" si="1"/>
      </c>
      <c r="I23" s="40"/>
      <c r="J23" s="61"/>
      <c r="K23" s="61"/>
      <c r="L23" s="36"/>
      <c r="M23" s="51">
        <f t="shared" si="2"/>
      </c>
      <c r="N23" s="42">
        <f t="shared" si="3"/>
      </c>
      <c r="O23" s="41"/>
      <c r="P23" s="59"/>
      <c r="Q23" s="59"/>
      <c r="R23" s="37"/>
      <c r="S23" s="50">
        <f t="shared" si="4"/>
      </c>
      <c r="T23" s="77">
        <f t="shared" si="5"/>
      </c>
      <c r="U23" s="40"/>
      <c r="V23" s="61"/>
      <c r="W23" s="61"/>
      <c r="X23" s="36"/>
      <c r="Y23" s="51">
        <f t="shared" si="6"/>
      </c>
      <c r="Z23" s="42">
        <f t="shared" si="7"/>
      </c>
    </row>
    <row r="24" spans="2:26" ht="12.75">
      <c r="B24" s="74"/>
      <c r="C24" s="75"/>
      <c r="D24" s="68"/>
      <c r="E24" s="67"/>
      <c r="F24" s="76"/>
      <c r="G24" s="78">
        <f>IF(AND(ISNONTEXT(D24),ISNONTEXT(F24),ISNUMBER(F24),$B24&gt;0,D24&gt;0,F24&gt;0),(1/(D24-F24)*$B24)*F24,IF(AND(ISNUMBER(H23),ISNUMBER(D24),H23&gt;0,D24&gt;0),H23*D24,""))</f>
      </c>
      <c r="H24" s="79">
        <f>IF(AND(ISNONTEXT(D24),ISNUMBER(D24),ISNONTEXT(F24),ISNUMBER(F24),F24&gt;0),1/(D24-F24)*$B24,"")</f>
      </c>
      <c r="I24" s="80"/>
      <c r="J24" s="69"/>
      <c r="K24" s="69"/>
      <c r="L24" s="81"/>
      <c r="M24" s="83">
        <f t="shared" si="2"/>
      </c>
      <c r="N24" s="84">
        <f t="shared" si="3"/>
      </c>
      <c r="O24" s="75"/>
      <c r="P24" s="67"/>
      <c r="Q24" s="67"/>
      <c r="R24" s="82"/>
      <c r="S24" s="78">
        <f t="shared" si="4"/>
      </c>
      <c r="T24" s="79">
        <f t="shared" si="5"/>
      </c>
      <c r="U24" s="80"/>
      <c r="V24" s="69"/>
      <c r="W24" s="69"/>
      <c r="X24" s="81"/>
      <c r="Y24" s="83">
        <f t="shared" si="6"/>
      </c>
      <c r="Z24" s="84">
        <f t="shared" si="7"/>
      </c>
    </row>
    <row r="25" spans="7:8" ht="12.75">
      <c r="G25" s="65"/>
      <c r="H25" s="65"/>
    </row>
    <row r="26" spans="7:8" ht="12.75">
      <c r="G26" s="65"/>
      <c r="H26" s="65"/>
    </row>
    <row r="27" spans="7:8" ht="12.75">
      <c r="G27" s="65"/>
      <c r="H27" s="65"/>
    </row>
    <row r="28" spans="7:8" ht="12.75">
      <c r="G28" s="65"/>
      <c r="H28" s="65"/>
    </row>
    <row r="29" spans="7:8" ht="12.75">
      <c r="G29" s="65"/>
      <c r="H29" s="65"/>
    </row>
    <row r="30" spans="7:8" ht="12.75">
      <c r="G30" s="65"/>
      <c r="H30" s="65"/>
    </row>
    <row r="31" spans="7:8" ht="12.75">
      <c r="G31" s="65"/>
      <c r="H31" s="65"/>
    </row>
    <row r="32" spans="7:8" ht="12.75">
      <c r="G32" s="65"/>
      <c r="H32" s="65"/>
    </row>
    <row r="33" spans="7:8" ht="12.75">
      <c r="G33" s="65"/>
      <c r="H33" s="65"/>
    </row>
    <row r="34" spans="7:8" ht="12.75">
      <c r="G34" s="65"/>
      <c r="H34" s="65"/>
    </row>
    <row r="35" spans="7:8" ht="12.75">
      <c r="G35" s="65"/>
      <c r="H35" s="65"/>
    </row>
  </sheetData>
  <mergeCells count="20">
    <mergeCell ref="Y2:Z2"/>
    <mergeCell ref="U3:V3"/>
    <mergeCell ref="W3:X3"/>
    <mergeCell ref="I1:N1"/>
    <mergeCell ref="O1:T1"/>
    <mergeCell ref="U1:Z1"/>
    <mergeCell ref="I2:L2"/>
    <mergeCell ref="M2:N2"/>
    <mergeCell ref="O2:R2"/>
    <mergeCell ref="S2:T2"/>
    <mergeCell ref="U2:X2"/>
    <mergeCell ref="I3:J3"/>
    <mergeCell ref="K3:L3"/>
    <mergeCell ref="O3:P3"/>
    <mergeCell ref="Q3:R3"/>
    <mergeCell ref="C1:H1"/>
    <mergeCell ref="G2:H2"/>
    <mergeCell ref="C2:F2"/>
    <mergeCell ref="C3:D3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dcterms:created xsi:type="dcterms:W3CDTF">2007-09-22T18:44:26Z</dcterms:created>
  <dcterms:modified xsi:type="dcterms:W3CDTF">2010-09-01T04:58:51Z</dcterms:modified>
  <cp:category/>
  <cp:version/>
  <cp:contentType/>
  <cp:contentStatus/>
</cp:coreProperties>
</file>